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BS/"/>
    </mc:Choice>
  </mc:AlternateContent>
  <xr:revisionPtr revIDLastSave="13" documentId="8_{D2A79A2D-6E5C-4873-BA66-44E773D13614}" xr6:coauthVersionLast="47" xr6:coauthVersionMax="47" xr10:uidLastSave="{8DBC19E4-E95D-4B04-9518-94B804E6A187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574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<sst xmlns="http://schemas.openxmlformats.org/spreadsheetml/2006/main" count="645" uniqueCount="347">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</sst>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" zoomScaleNormal="100" workbookViewId="0">
      <selection activeCell="D40" sqref="D40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3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25727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54" t="s">
        <v>166</v>
      </c>
      <c r="E5" s="156"/>
      <c r="F5" s="100"/>
      <c r="G5" s="77" t="s">
        <v>5</v>
      </c>
      <c r="H5" s="163" t="s">
        <v>177</v>
      </c>
      <c r="I5" s="163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54" t="s">
        <v>208</v>
      </c>
      <c r="E6" s="155"/>
      <c r="F6" s="155"/>
      <c r="G6" s="155"/>
      <c r="H6" s="155"/>
      <c r="I6" s="155"/>
      <c r="J6" s="155"/>
      <c r="K6" s="156"/>
      <c r="M6" s="94" t="s">
        <v>7</v>
      </c>
      <c r="N6" s="94" t="str">
        <f>VLOOKUP($D$7,Parameters!$A$74:$E$75,2,FALSE)</f>
        <v>BOL</v>
      </c>
    </row>
    <row r="7" spans="2:14" ht="15" customHeight="1" x14ac:dyDescent="0.3">
      <c r="B7" s="100" t="s">
        <v>7</v>
      </c>
      <c r="C7" s="100"/>
      <c r="D7" s="154" t="s">
        <v>121</v>
      </c>
      <c r="E7" s="156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VLOOKUP($D$7,Parameters!$A$74:$E$75,3,FALSE)</f>
        <v>2</v>
      </c>
    </row>
    <row r="8" spans="2:14" ht="15" customHeight="1" x14ac:dyDescent="0.3">
      <c r="B8" s="100" t="s">
        <v>60</v>
      </c>
      <c r="C8" s="100"/>
      <c r="D8" s="154" t="s">
        <v>276</v>
      </c>
      <c r="E8" s="156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54" t="s">
        <v>131</v>
      </c>
      <c r="E9" s="156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4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46934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25727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57"/>
      <c r="C17" s="157"/>
      <c r="D17" s="157"/>
      <c r="E17" s="157"/>
      <c r="F17" s="158"/>
      <c r="G17" s="159" t="s">
        <v>25</v>
      </c>
      <c r="H17" s="160"/>
      <c r="I17" s="161" t="s">
        <v>26</v>
      </c>
      <c r="J17" s="162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44" t="s">
        <v>30</v>
      </c>
      <c r="C18" s="145"/>
      <c r="D18" s="145"/>
      <c r="E18" s="145"/>
      <c r="F18" s="145"/>
      <c r="G18" s="146">
        <f>N18</f>
        <v>3000</v>
      </c>
      <c r="H18" s="147"/>
      <c r="I18" s="146">
        <f>(I19+I20+I21)</f>
        <v>3063</v>
      </c>
      <c r="J18" s="147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3000</v>
      </c>
      <c r="O18" s="110">
        <f>VLOOKUP(($D$4),Parameters!$A$4:$R$71,$N$7,FALSE)</f>
        <v>3000</v>
      </c>
      <c r="Q18" s="111"/>
      <c r="R18" s="111"/>
    </row>
    <row r="19" spans="1:18" x14ac:dyDescent="0.3">
      <c r="A19" s="100"/>
      <c r="B19" s="144" t="s">
        <v>31</v>
      </c>
      <c r="C19" s="145"/>
      <c r="D19" s="145"/>
      <c r="E19" s="145"/>
      <c r="F19" s="145"/>
      <c r="G19" s="146">
        <f>N19</f>
        <v>1700</v>
      </c>
      <c r="H19" s="147"/>
      <c r="I19" s="146">
        <f>IF(G19="-","-",G19*(100%+Parameters!$B$84))</f>
        <v>1751</v>
      </c>
      <c r="J19" s="147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IF(ISERROR(O19),(VLOOKUP($D$9,Parameters!$A$4:$R$71,$N$7+3,FALSE)),O19)</f>
        <v>1700</v>
      </c>
      <c r="O19" s="110">
        <f>VLOOKUP($D$4,Parameters!$A$4:$R$71,$N$7+3,FALSE)</f>
        <v>1700</v>
      </c>
      <c r="Q19" s="111"/>
      <c r="R19" s="112"/>
    </row>
    <row r="20" spans="1:18" x14ac:dyDescent="0.3">
      <c r="A20" s="100"/>
      <c r="B20" s="144" t="s">
        <v>32</v>
      </c>
      <c r="C20" s="145"/>
      <c r="D20" s="145"/>
      <c r="E20" s="145"/>
      <c r="F20" s="145"/>
      <c r="G20" s="146">
        <f>N20</f>
        <v>900</v>
      </c>
      <c r="H20" s="147"/>
      <c r="I20" s="146">
        <f>IF(G20="-","-",G20*(100%))</f>
        <v>900</v>
      </c>
      <c r="J20" s="147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900</v>
      </c>
      <c r="O20" s="110">
        <f>VLOOKUP($D$4,Parameters!$A$4:$R$71,$N$7+6,FALSE)</f>
        <v>900</v>
      </c>
      <c r="Q20" s="111"/>
      <c r="R20" s="111"/>
    </row>
    <row r="21" spans="1:18" x14ac:dyDescent="0.3">
      <c r="A21" s="100"/>
      <c r="B21" s="144" t="s">
        <v>33</v>
      </c>
      <c r="C21" s="145"/>
      <c r="D21" s="145"/>
      <c r="E21" s="145"/>
      <c r="F21" s="145"/>
      <c r="G21" s="146">
        <f>N21</f>
        <v>400</v>
      </c>
      <c r="H21" s="147"/>
      <c r="I21" s="146">
        <f>IF(G21="-","-",G21*(100%+Parameters!$B$84))</f>
        <v>412</v>
      </c>
      <c r="J21" s="147"/>
      <c r="K21" s="105" t="s">
        <v>34</v>
      </c>
      <c r="M21" s="94" t="s">
        <v>34</v>
      </c>
      <c r="N21" s="109">
        <f>IF(ISERROR(O21),(VLOOKUP($D$9,Parameters!$A$4:$R$71,$N$7+9,FALSE)),O21)</f>
        <v>400</v>
      </c>
      <c r="O21" s="110">
        <f>VLOOKUP($D$4,Parameters!$A$4:$R$71,$N$7+9,FALSE)</f>
        <v>400</v>
      </c>
      <c r="Q21" s="111"/>
      <c r="R21" s="111"/>
    </row>
    <row r="22" spans="1:18" x14ac:dyDescent="0.3">
      <c r="A22" s="100"/>
      <c r="B22" s="144" t="s">
        <v>35</v>
      </c>
      <c r="C22" s="145"/>
      <c r="D22" s="145"/>
      <c r="E22" s="145"/>
      <c r="F22" s="145"/>
      <c r="G22" s="146">
        <f>N22</f>
        <v>650</v>
      </c>
      <c r="H22" s="147"/>
      <c r="I22" s="146">
        <f>IF(G22="-","-",G22*(100%+Parameters!$B$84))</f>
        <v>669.5</v>
      </c>
      <c r="J22" s="147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650</v>
      </c>
      <c r="O22" s="110">
        <f>VLOOKUP($D$4,Parameters!$A$4:$R$71,$N$7+12,FALSE)</f>
        <v>650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48" t="s">
        <v>36</v>
      </c>
      <c r="E24" s="149"/>
      <c r="F24" s="149"/>
      <c r="G24" s="149"/>
      <c r="H24" s="149"/>
      <c r="I24" s="15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43" t="s">
        <v>40</v>
      </c>
      <c r="F25" s="143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40" t="str">
        <f>"Leerjaar "&amp;$N$8</f>
        <v>Leerjaar 1</v>
      </c>
      <c r="C26" s="113" t="s">
        <v>46</v>
      </c>
      <c r="D26" s="123">
        <v>30</v>
      </c>
      <c r="E26" s="141">
        <f>(D26*Parameters!$B$85)/60</f>
        <v>25</v>
      </c>
      <c r="F26" s="142"/>
      <c r="G26" s="124">
        <f>IF($N$6="BOL",Parameters!C78,Parameters!B78)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40"/>
      <c r="C27" s="113" t="s">
        <v>48</v>
      </c>
      <c r="D27" s="126">
        <v>30</v>
      </c>
      <c r="E27" s="141">
        <f>(D27*Parameters!$B$85)/60</f>
        <v>25</v>
      </c>
      <c r="F27" s="142"/>
      <c r="G27" s="124">
        <f>IF($N$6="BOL",Parameters!C79,Parameters!B79)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N22*(100%+Parameters!$B$84)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3">
      <c r="A28" s="100"/>
      <c r="B28" s="140"/>
      <c r="C28" s="113" t="s">
        <v>50</v>
      </c>
      <c r="D28" s="126">
        <v>0</v>
      </c>
      <c r="E28" s="141">
        <f>(D28*Parameters!$B$85)/60</f>
        <v>0</v>
      </c>
      <c r="F28" s="142"/>
      <c r="G28" s="124">
        <f>IF($N$6="BOL",Parameters!C80,Parameters!B80)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40"/>
      <c r="C29" s="113" t="s">
        <v>52</v>
      </c>
      <c r="D29" s="126">
        <v>30</v>
      </c>
      <c r="E29" s="141">
        <f>(D29*Parameters!$B$85)/60</f>
        <v>25</v>
      </c>
      <c r="F29" s="142"/>
      <c r="G29" s="124">
        <f>IF($N$6="BOL",Parameters!C81,Parameters!B81)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IF($N$6="BOL",N26*1000/10,IF($N$6="BBL",N26*850/10,0))*(100%+Parameters!$B$84)</f>
        <v>1030</v>
      </c>
      <c r="O29" s="110">
        <f>N29/(100%+Parameters!$B$84)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40" t="str">
        <f>IF($N$11&gt;=2,"Leerjaar "&amp;$N$8+1,"")</f>
        <v>Leerjaar 2</v>
      </c>
      <c r="C32" s="113" t="s">
        <v>46</v>
      </c>
      <c r="D32" s="126">
        <v>30</v>
      </c>
      <c r="E32" s="141">
        <f>(D32*Parameters!$B$85)/60</f>
        <v>25</v>
      </c>
      <c r="F32" s="142"/>
      <c r="G32" s="124">
        <f>IF($N$11&gt;=2,IF($N$6="BOL",Parameters!C78,Parameters!B78),"-")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40"/>
      <c r="C33" s="113" t="s">
        <v>48</v>
      </c>
      <c r="D33" s="126">
        <v>0</v>
      </c>
      <c r="E33" s="141">
        <f>(D33*Parameters!$B$85)/60</f>
        <v>0</v>
      </c>
      <c r="F33" s="142"/>
      <c r="G33" s="124">
        <f>IF($N$11&gt;=2,IF($N$6="BOL",Parameters!C79,Parameters!B79),"-")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40"/>
      <c r="C34" s="113" t="s">
        <v>50</v>
      </c>
      <c r="D34" s="126">
        <v>30</v>
      </c>
      <c r="E34" s="141">
        <f>(D34*Parameters!$B$85)/60</f>
        <v>25</v>
      </c>
      <c r="F34" s="142"/>
      <c r="G34" s="124">
        <f>IF($N$11&gt;=2,IF($N$6="BOL",Parameters!C80,Parameters!B80),"-")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40"/>
      <c r="C35" s="113" t="s">
        <v>52</v>
      </c>
      <c r="D35" s="126">
        <v>30</v>
      </c>
      <c r="E35" s="141">
        <f>(D35*Parameters!$B$85)/60</f>
        <v>25</v>
      </c>
      <c r="F35" s="142"/>
      <c r="G35" s="124">
        <f>IF($N$11&gt;=2,IF($N$6="BOL",Parameters!C81,Parameters!B81),"-")</f>
        <v>8.5</v>
      </c>
      <c r="H35" s="125">
        <f t="shared" si="1"/>
        <v>212.5</v>
      </c>
      <c r="I35" s="126">
        <v>0</v>
      </c>
      <c r="J35" s="126"/>
      <c r="K35" s="125">
        <f t="shared" si="0"/>
        <v>212.5</v>
      </c>
      <c r="M35" s="101" t="s">
        <v>53</v>
      </c>
      <c r="N35" s="109">
        <f>IF($N$6="BOL",N32*1000/10,IF($N$6="BBL",N32*850/10,0))*(100%+Parameters!$B$84)</f>
        <v>1030</v>
      </c>
      <c r="O35" s="110">
        <f>N35/(100%+Parameters!$B$84)</f>
        <v>1000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350</v>
      </c>
      <c r="K36" s="131">
        <f>SUM(K32:K35)</f>
        <v>1037.5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40" t="str">
        <f>IF($N$11&gt;=3,"Leerjaar "&amp;$N$8+2,"")</f>
        <v>Leerjaar 3</v>
      </c>
      <c r="C38" s="113" t="s">
        <v>46</v>
      </c>
      <c r="D38" s="126">
        <v>0</v>
      </c>
      <c r="E38" s="141">
        <f>(D38*Parameters!$B$85)/60</f>
        <v>0</v>
      </c>
      <c r="F38" s="142"/>
      <c r="G38" s="124">
        <f>IF($N$11&gt;=3,IF($N$6="BOL",Parameters!C78,Parameters!B78),"-")</f>
        <v>9.5</v>
      </c>
      <c r="H38" s="125">
        <f>IF(G38&lt;&gt;"-",E38*G38,0)</f>
        <v>0</v>
      </c>
      <c r="I38" s="126">
        <v>0</v>
      </c>
      <c r="J38" s="126">
        <v>350</v>
      </c>
      <c r="K38" s="125">
        <f>J38+I38+H38</f>
        <v>350</v>
      </c>
      <c r="M38" s="101" t="s">
        <v>47</v>
      </c>
      <c r="N38" s="109">
        <f>IF(N10-N26-N32&gt;=10,10,N10-N26-N32)</f>
        <v>10</v>
      </c>
      <c r="O38" s="110"/>
      <c r="P38" s="110"/>
    </row>
    <row r="39" spans="1:18" x14ac:dyDescent="0.3">
      <c r="B39" s="140"/>
      <c r="C39" s="113" t="s">
        <v>48</v>
      </c>
      <c r="D39" s="126">
        <v>30</v>
      </c>
      <c r="E39" s="141">
        <f>(D39*Parameters!$B$85)/60</f>
        <v>25</v>
      </c>
      <c r="F39" s="142"/>
      <c r="G39" s="124">
        <f>IF($N$11&gt;=3,IF($N$6="BOL",Parameters!C79,Parameters!B79),"-")</f>
        <v>9.5</v>
      </c>
      <c r="H39" s="125">
        <f t="shared" ref="H39:H41" si="2">IF(G39&lt;&gt;"-",E39*G39,0)</f>
        <v>237.5</v>
      </c>
      <c r="I39" s="126">
        <v>0</v>
      </c>
      <c r="J39" s="126"/>
      <c r="K39" s="125">
        <f>J39+I39+H39</f>
        <v>237.5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40"/>
      <c r="C40" s="113" t="s">
        <v>50</v>
      </c>
      <c r="D40" s="126">
        <v>15</v>
      </c>
      <c r="E40" s="141">
        <f>(D40*Parameters!$B$85)/60</f>
        <v>12.5</v>
      </c>
      <c r="F40" s="142"/>
      <c r="G40" s="124">
        <f>IF($N$11&gt;=3,IF($N$6="BOL",Parameters!C80,Parameters!B80),"-")</f>
        <v>9.5</v>
      </c>
      <c r="H40" s="125">
        <f t="shared" si="2"/>
        <v>118.75</v>
      </c>
      <c r="I40" s="126">
        <v>0</v>
      </c>
      <c r="J40" s="126">
        <v>208</v>
      </c>
      <c r="K40" s="125">
        <f>J40+I40+H40</f>
        <v>326.75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40"/>
      <c r="C41" s="113" t="s">
        <v>52</v>
      </c>
      <c r="D41" s="126"/>
      <c r="E41" s="141">
        <f>(D41*Parameters!$B$85)/60</f>
        <v>0</v>
      </c>
      <c r="F41" s="142"/>
      <c r="G41" s="124">
        <f>IF($N$11&gt;=3,IF($N$6="BOL",Parameters!C81,Parameters!B81),"-")</f>
        <v>8.5</v>
      </c>
      <c r="H41" s="125">
        <f t="shared" si="2"/>
        <v>0</v>
      </c>
      <c r="I41" s="126">
        <v>0</v>
      </c>
      <c r="J41" s="126">
        <v>207</v>
      </c>
      <c r="K41" s="125">
        <f>J41+I41+H41</f>
        <v>207</v>
      </c>
      <c r="M41" s="101" t="s">
        <v>53</v>
      </c>
      <c r="N41" s="109">
        <f>IF($N$6="BOL",N38*1000/10,IF($N$6="BBL",N38*850/10,0))*(100%+Parameters!$B$84)</f>
        <v>1030</v>
      </c>
      <c r="O41" s="110">
        <f>N41/(100%+Parameters!$B$84)</f>
        <v>1000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356.25</v>
      </c>
      <c r="I42" s="130">
        <f>SUM(I38:I41)</f>
        <v>0</v>
      </c>
      <c r="J42" s="131">
        <f>SUM(J38:J41)</f>
        <v>765</v>
      </c>
      <c r="K42" s="131">
        <f>SUM(K38:K41)</f>
        <v>1121.25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40" t="str">
        <f>IF($N$11&gt;=4,"Leerjaar "&amp;$N$8+3,"")</f>
        <v/>
      </c>
      <c r="C44" s="113" t="s">
        <v>46</v>
      </c>
      <c r="D44" s="126">
        <v>0</v>
      </c>
      <c r="E44" s="141">
        <f>(D44*Parameters!$B$85)/60</f>
        <v>0</v>
      </c>
      <c r="F44" s="142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40"/>
      <c r="C45" s="113" t="s">
        <v>48</v>
      </c>
      <c r="D45" s="126">
        <v>0</v>
      </c>
      <c r="E45" s="141">
        <f>(D45*Parameters!$B$85)/60</f>
        <v>0</v>
      </c>
      <c r="F45" s="142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40"/>
      <c r="C46" s="113" t="s">
        <v>50</v>
      </c>
      <c r="D46" s="126">
        <v>0</v>
      </c>
      <c r="E46" s="141">
        <f>(D46*Parameters!$B$85)/60</f>
        <v>0</v>
      </c>
      <c r="F46" s="142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40"/>
      <c r="C47" s="113" t="s">
        <v>52</v>
      </c>
      <c r="D47" s="126">
        <v>0</v>
      </c>
      <c r="E47" s="141">
        <f>(D47*Parameters!$B$85)/60</f>
        <v>0</v>
      </c>
      <c r="F47" s="142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1731.25</v>
      </c>
      <c r="J51" s="105">
        <f>J48+J42+J36+J30</f>
        <v>1465</v>
      </c>
      <c r="K51" s="134">
        <f>K48+K42+K36+K30</f>
        <v>3196.25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71" t="str">
        <f>RIGHT(Programmering!$D$6,LEN(Programmering!$D$6)-8)</f>
        <v>Marketing &amp; Communicatie (Marketing &amp; Communication Specialist)</v>
      </c>
      <c r="D2" s="171"/>
      <c r="E2" s="171"/>
      <c r="F2" s="172"/>
    </row>
    <row r="3" spans="2:6" ht="17.100000000000001" customHeight="1" x14ac:dyDescent="0.3">
      <c r="B3" s="47" t="s">
        <v>59</v>
      </c>
      <c r="C3" t="str">
        <f>LEFT(Programmering!$D$6,5)</f>
        <v>25727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BOL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46934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8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3">
      <c r="B9" s="169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3">
      <c r="B10" s="169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 x14ac:dyDescent="0.3">
      <c r="B11" s="170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3">
      <c r="B12" s="164" t="s">
        <v>65</v>
      </c>
      <c r="C12" s="165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8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3">
      <c r="B15" s="169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 x14ac:dyDescent="0.3">
      <c r="B16" s="169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 x14ac:dyDescent="0.3">
      <c r="B17" s="170"/>
      <c r="C17" s="28">
        <v>4</v>
      </c>
      <c r="D17" s="29">
        <f>Programmering!H35+Programmering!I35</f>
        <v>212.5</v>
      </c>
      <c r="E17" s="29">
        <f>Programmering!J35</f>
        <v>0</v>
      </c>
      <c r="F17" s="29">
        <f>Programmering!K35</f>
        <v>212.5</v>
      </c>
    </row>
    <row r="18" spans="2:6" ht="17.100000000000001" customHeight="1" x14ac:dyDescent="0.3">
      <c r="B18" s="164" t="str">
        <f>IF(Programmering!G36="","","Totaal ")</f>
        <v xml:space="preserve">Totaal </v>
      </c>
      <c r="C18" s="165"/>
      <c r="D18" s="32">
        <f>Programmering!H36+Programmering!I36</f>
        <v>687.5</v>
      </c>
      <c r="E18" s="32">
        <f>Programmering!J36</f>
        <v>350</v>
      </c>
      <c r="F18" s="32">
        <f>Programmering!K36</f>
        <v>1037.5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9" t="str">
        <f>Programmering!B38</f>
        <v>Leerjaar 3</v>
      </c>
      <c r="C20" s="44">
        <v>1</v>
      </c>
      <c r="D20" s="45">
        <f>Programmering!H38+Programmering!I38</f>
        <v>0</v>
      </c>
      <c r="E20" s="45">
        <f>Programmering!J38</f>
        <v>350</v>
      </c>
      <c r="F20" s="45">
        <f>Programmering!K38</f>
        <v>350</v>
      </c>
    </row>
    <row r="21" spans="2:6" ht="17.100000000000001" customHeight="1" x14ac:dyDescent="0.3">
      <c r="B21" s="169"/>
      <c r="C21" s="28">
        <v>2</v>
      </c>
      <c r="D21" s="29">
        <f>Programmering!H39+Programmering!I39</f>
        <v>237.5</v>
      </c>
      <c r="E21" s="29">
        <f>Programmering!J39</f>
        <v>0</v>
      </c>
      <c r="F21" s="29">
        <f>Programmering!K39</f>
        <v>237.5</v>
      </c>
    </row>
    <row r="22" spans="2:6" ht="17.100000000000001" customHeight="1" x14ac:dyDescent="0.3">
      <c r="B22" s="169"/>
      <c r="C22" s="28">
        <v>3</v>
      </c>
      <c r="D22" s="29">
        <f>Programmering!H40+Programmering!I40</f>
        <v>118.75</v>
      </c>
      <c r="E22" s="29">
        <f>Programmering!J40</f>
        <v>208</v>
      </c>
      <c r="F22" s="29">
        <f>Programmering!K40</f>
        <v>326.75</v>
      </c>
    </row>
    <row r="23" spans="2:6" ht="17.100000000000001" customHeight="1" x14ac:dyDescent="0.3">
      <c r="B23" s="170"/>
      <c r="C23" s="28">
        <v>4</v>
      </c>
      <c r="D23" s="29">
        <f>Programmering!H41+Programmering!I41</f>
        <v>0</v>
      </c>
      <c r="E23" s="29">
        <f>Programmering!J41</f>
        <v>207</v>
      </c>
      <c r="F23" s="29">
        <f>Programmering!K41</f>
        <v>207</v>
      </c>
    </row>
    <row r="24" spans="2:6" ht="17.100000000000001" customHeight="1" x14ac:dyDescent="0.3">
      <c r="B24" s="164" t="str">
        <f>IF(Programmering!G42="","","Totaal ")</f>
        <v xml:space="preserve">Totaal </v>
      </c>
      <c r="C24" s="165"/>
      <c r="D24" s="32">
        <f>Programmering!H42+Programmering!I42</f>
        <v>356.25</v>
      </c>
      <c r="E24" s="32">
        <f>Programmering!J42</f>
        <v>765</v>
      </c>
      <c r="F24" s="32">
        <f>Programmering!K42</f>
        <v>1121.25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8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9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9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70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4" t="str">
        <f>IF(Programmering!G48="","","Totaal ")</f>
        <v/>
      </c>
      <c r="C30" s="165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66" t="s">
        <v>66</v>
      </c>
      <c r="C32" s="167"/>
      <c r="D32" s="51">
        <f>Programmering!I51</f>
        <v>1731.25</v>
      </c>
      <c r="E32" s="52">
        <f>Programmering!J51</f>
        <v>1465</v>
      </c>
      <c r="F32" s="52">
        <f>Programmering!K51</f>
        <v>3196.25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25727</v>
      </c>
      <c r="C3" t="str">
        <f>RIGHT(Programmering!D6,LEN(Programmering!D6)-8)</f>
        <v>Marketing &amp; Communicatie (Marketing &amp; Communication Specialist)</v>
      </c>
      <c r="D3">
        <f>Programmering!N9</f>
        <v>4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46934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0</v>
      </c>
      <c r="AG3" s="22">
        <f>Programmering!H36+Programmering!I36</f>
        <v>687.5</v>
      </c>
      <c r="AH3" s="22">
        <f>Programmering!J36</f>
        <v>350</v>
      </c>
      <c r="AI3" s="22">
        <f>Programmering!K36</f>
        <v>1037.5</v>
      </c>
      <c r="AJ3" s="22">
        <f>Programmering!H38+Programmering!I38</f>
        <v>0</v>
      </c>
      <c r="AK3" s="22">
        <f>Programmering!J38</f>
        <v>350</v>
      </c>
      <c r="AL3" s="22">
        <f>Programmering!H39+Programmering!I39</f>
        <v>237.5</v>
      </c>
      <c r="AM3" s="22">
        <f>Programmering!J39</f>
        <v>0</v>
      </c>
      <c r="AN3" s="22">
        <f>Programmering!H40+Programmering!I40</f>
        <v>118.75</v>
      </c>
      <c r="AO3" s="22">
        <f>Programmering!J40</f>
        <v>208</v>
      </c>
      <c r="AP3" s="22">
        <f>Programmering!H41+Programmering!I41</f>
        <v>0</v>
      </c>
      <c r="AQ3" s="22">
        <f>Programmering!J41</f>
        <v>207</v>
      </c>
      <c r="AR3" s="22">
        <f>Programmering!H42+Programmering!I42</f>
        <v>356.25</v>
      </c>
      <c r="AS3" s="22">
        <f>Programmering!J42</f>
        <v>765</v>
      </c>
      <c r="AT3" s="22">
        <f>Programmering!K42</f>
        <v>1121.25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d69e31-f0bd-42d4-87d4-1be2377d378d">
      <Terms xmlns="http://schemas.microsoft.com/office/infopath/2007/PartnerControls"/>
    </lcf76f155ced4ddcb4097134ff3c332f>
    <TaxCatchAll xmlns="f1a56d87-30b2-44cb-ae45-9947631b6f04" xsi:nil="true"/>
    <DefaultSectionNames xmlns="7ad69e31-f0bd-42d4-87d4-1be2377d378d" xsi:nil="true"/>
    <LMS_Mappings xmlns="7ad69e31-f0bd-42d4-87d4-1be2377d378d" xsi:nil="true"/>
    <IsNotebookLocked xmlns="7ad69e31-f0bd-42d4-87d4-1be2377d378d" xsi:nil="true"/>
    <FolderType xmlns="7ad69e31-f0bd-42d4-87d4-1be2377d378d" xsi:nil="true"/>
    <Members xmlns="7ad69e31-f0bd-42d4-87d4-1be2377d378d">
      <UserInfo>
        <DisplayName/>
        <AccountId xsi:nil="true"/>
        <AccountType/>
      </UserInfo>
    </Members>
    <Invited_Members xmlns="7ad69e31-f0bd-42d4-87d4-1be2377d378d" xsi:nil="true"/>
    <Member_Groups xmlns="7ad69e31-f0bd-42d4-87d4-1be2377d378d">
      <UserInfo>
        <DisplayName/>
        <AccountId xsi:nil="true"/>
        <AccountType/>
      </UserInfo>
    </Member_Groups>
    <Self_Registration_Enabled xmlns="7ad69e31-f0bd-42d4-87d4-1be2377d378d" xsi:nil="true"/>
    <Has_Leaders_Only_SectionGroup xmlns="7ad69e31-f0bd-42d4-87d4-1be2377d378d" xsi:nil="true"/>
    <Is_Collaboration_Space_Locked xmlns="7ad69e31-f0bd-42d4-87d4-1be2377d378d" xsi:nil="true"/>
    <Teams_Channel_Section_Location xmlns="7ad69e31-f0bd-42d4-87d4-1be2377d378d" xsi:nil="true"/>
    <NotebookType xmlns="7ad69e31-f0bd-42d4-87d4-1be2377d378d" xsi:nil="true"/>
    <CultureName xmlns="7ad69e31-f0bd-42d4-87d4-1be2377d378d" xsi:nil="true"/>
    <Leaders xmlns="7ad69e31-f0bd-42d4-87d4-1be2377d378d">
      <UserInfo>
        <DisplayName/>
        <AccountId xsi:nil="true"/>
        <AccountType/>
      </UserInfo>
    </Leaders>
    <Templates xmlns="7ad69e31-f0bd-42d4-87d4-1be2377d378d" xsi:nil="true"/>
    <Invited_Leaders xmlns="7ad69e31-f0bd-42d4-87d4-1be2377d378d" xsi:nil="true"/>
    <Owner xmlns="7ad69e31-f0bd-42d4-87d4-1be2377d378d">
      <UserInfo>
        <DisplayName/>
        <AccountId xsi:nil="true"/>
        <AccountType/>
      </UserInfo>
    </Owner>
    <AppVersion xmlns="7ad69e31-f0bd-42d4-87d4-1be2377d378d" xsi:nil="true"/>
    <TeamsChannelId xmlns="7ad69e31-f0bd-42d4-87d4-1be2377d378d" xsi:nil="true"/>
    <Distribution_Groups xmlns="7ad69e31-f0bd-42d4-87d4-1be2377d378d" xsi:nil="true"/>
    <Math_Settings xmlns="7ad69e31-f0bd-42d4-87d4-1be2377d37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D06805C9F7844585330E6153C4CD94" ma:contentTypeVersion="36" ma:contentTypeDescription="Een nieuw document maken." ma:contentTypeScope="" ma:versionID="175dc5f16a4ff2bed1decb2316cdf0c6">
  <xsd:schema xmlns:xsd="http://www.w3.org/2001/XMLSchema" xmlns:xs="http://www.w3.org/2001/XMLSchema" xmlns:p="http://schemas.microsoft.com/office/2006/metadata/properties" xmlns:ns2="7ad69e31-f0bd-42d4-87d4-1be2377d378d" xmlns:ns3="f1a56d87-30b2-44cb-ae45-9947631b6f04" targetNamespace="http://schemas.microsoft.com/office/2006/metadata/properties" ma:root="true" ma:fieldsID="4d41ccfe662cc24f9990c318cb63314f" ns2:_="" ns3:_="">
    <xsd:import namespace="7ad69e31-f0bd-42d4-87d4-1be2377d378d"/>
    <xsd:import namespace="f1a56d87-30b2-44cb-ae45-9947631b6f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69e31-f0bd-42d4-87d4-1be2377d3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0" nillable="true" ma:displayName="Notebook Type" ma:internalName="NotebookType">
      <xsd:simpleType>
        <xsd:restriction base="dms:Text"/>
      </xsd:simpleType>
    </xsd:element>
    <xsd:element name="FolderType" ma:index="11" nillable="true" ma:displayName="Folder Type" ma:internalName="FolderType">
      <xsd:simpleType>
        <xsd:restriction base="dms:Text"/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msChannelId" ma:index="14" nillable="true" ma:displayName="Teams Channel Id" ma:internalName="TeamsChannelId">
      <xsd:simpleType>
        <xsd:restriction base="dms:Text"/>
      </xsd:simpleType>
    </xsd:element>
    <xsd:element name="Owner" ma:index="1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6" nillable="true" ma:displayName="Math Settings" ma:internalName="Math_Settings">
      <xsd:simpleType>
        <xsd:restriction base="dms:Text"/>
      </xsd:simpleType>
    </xsd:element>
    <xsd:element name="DefaultSectionNames" ma:index="17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8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9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0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1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2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3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6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7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8" nillable="true" ma:displayName="Is Collaboration Space Locked" ma:internalName="Is_Collaboration_Space_Locked">
      <xsd:simpleType>
        <xsd:restriction base="dms:Boolean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Teams_Channel_Section_Location" ma:index="30" nillable="true" ma:displayName="Teams Channel Section Location" ma:internalName="Teams_Channel_Section_Location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7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6d87-30b2-44cb-ae45-9947631b6f04" elementFormDefault="qualified">
    <xsd:import namespace="http://schemas.microsoft.com/office/2006/documentManagement/types"/>
    <xsd:import namespace="http://schemas.microsoft.com/office/infopath/2007/PartnerControls"/>
    <xsd:element name="TaxCatchAll" ma:index="38" nillable="true" ma:displayName="Taxonomy Catch All Column" ma:hidden="true" ma:list="{24e2735c-7d7c-4ca9-8d3d-4939324fc396}" ma:internalName="TaxCatchAll" ma:showField="CatchAllData" ma:web="f1a56d87-30b2-44cb-ae45-9947631b6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purl.org/dc/dcmitype/"/>
    <ds:schemaRef ds:uri="http://purl.org/dc/elements/1.1/"/>
    <ds:schemaRef ds:uri="http://schemas.microsoft.com/office/2006/documentManagement/types"/>
    <ds:schemaRef ds:uri="7ad69e31-f0bd-42d4-87d4-1be2377d378d"/>
    <ds:schemaRef ds:uri="f1a56d87-30b2-44cb-ae45-9947631b6f0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973F71-C58C-44E9-8D24-80EE69057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69e31-f0bd-42d4-87d4-1be2377d378d"/>
    <ds:schemaRef ds:uri="f1a56d87-30b2-44cb-ae45-9947631b6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2024-09-03T11:22:43Z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